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830" windowHeight="69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<sst xmlns="http://schemas.openxmlformats.org/spreadsheetml/2006/main" count="250" uniqueCount="97">
  <si>
    <t xml:space="preserve"> Année :</t>
  </si>
  <si>
    <t>Mois</t>
  </si>
  <si>
    <t>Année + mois</t>
  </si>
  <si>
    <t>k</t>
  </si>
  <si>
    <t>T</t>
  </si>
  <si>
    <t>JDE</t>
  </si>
  <si>
    <t>E</t>
  </si>
  <si>
    <t>M</t>
  </si>
  <si>
    <t>M'</t>
  </si>
  <si>
    <t>Si a/400 bisex</t>
  </si>
  <si>
    <t xml:space="preserve">Si a/100 = faux et a/4 bis </t>
  </si>
  <si>
    <t>Bissextile</t>
  </si>
  <si>
    <t>/400</t>
  </si>
  <si>
    <t>/4</t>
  </si>
  <si>
    <t>/100</t>
  </si>
  <si>
    <t>Fraction d'année</t>
  </si>
  <si>
    <t xml:space="preserve">Nombre de </t>
  </si>
  <si>
    <t>Jours du mois</t>
  </si>
  <si>
    <t>F</t>
  </si>
  <si>
    <t>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</si>
  <si>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</si>
  <si>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</si>
  <si>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</si>
  <si>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</si>
  <si>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</si>
  <si>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</si>
  <si>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</si>
  <si>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</si>
  <si>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</si>
  <si>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</si>
  <si>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</si>
  <si>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</si>
  <si>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</si>
  <si>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</si>
  <si>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New Moon</t>
  </si>
  <si>
    <t>Full Moon</t>
  </si>
  <si>
    <t>M’</t>
  </si>
  <si>
    <t>2 M’</t>
  </si>
  <si>
    <t>2F</t>
  </si>
  <si>
    <t>M’ - M</t>
  </si>
  <si>
    <t>M’ +M</t>
  </si>
  <si>
    <t>2M</t>
  </si>
  <si>
    <t>M’ – 2F</t>
  </si>
  <si>
    <t>M’ + 2F</t>
  </si>
  <si>
    <t>2M’ +M</t>
  </si>
  <si>
    <t>3M’</t>
  </si>
  <si>
    <t>M + 2F</t>
  </si>
  <si>
    <t>M – 2F</t>
  </si>
  <si>
    <t>2M’ – M</t>
  </si>
  <si>
    <t>Ω</t>
  </si>
  <si>
    <t>M’ + 2M</t>
  </si>
  <si>
    <t>2M’ – 2F</t>
  </si>
  <si>
    <t>3M</t>
  </si>
  <si>
    <t>M’ + M – 2F</t>
  </si>
  <si>
    <t>2M’ + 2 F</t>
  </si>
  <si>
    <t>M’ + M + 2F</t>
  </si>
  <si>
    <t>M’ – m + 2F</t>
  </si>
  <si>
    <t>M’ – M – 2F</t>
  </si>
  <si>
    <t>3M’ + M</t>
  </si>
  <si>
    <t>4M’</t>
  </si>
  <si>
    <t>If Z &lt; 2299161, take A = Z.</t>
  </si>
  <si>
    <t>If Z is equal to or larger than 2299161, calculate</t>
  </si>
  <si>
    <t>The day of the month (with decimals) is then</t>
  </si>
  <si>
    <t xml:space="preserve">B - D - INT(30.6001E) + F </t>
  </si>
  <si>
    <t>+0,5</t>
  </si>
  <si>
    <t>Z</t>
  </si>
  <si>
    <t>JD</t>
  </si>
  <si>
    <t>α</t>
  </si>
  <si>
    <t>A</t>
  </si>
  <si>
    <t>B</t>
  </si>
  <si>
    <t>C</t>
  </si>
  <si>
    <t>D</t>
  </si>
  <si>
    <t>NL</t>
  </si>
  <si>
    <t>PL</t>
  </si>
  <si>
    <t>NL NouvellLune</t>
  </si>
  <si>
    <t>DQ</t>
  </si>
  <si>
    <t>NL = Nouvelle lune, PC = Premier croissant, PQ = Premier quartier, LGC = Lune Gibbeuse croissante</t>
  </si>
  <si>
    <t>PL = Pleine lune, LGD = Lune Gibbeuse décroissante,  DQ = Dernier quartier, DC = Dernier croissant</t>
  </si>
  <si>
    <t>PC</t>
  </si>
  <si>
    <t>PQ</t>
  </si>
  <si>
    <t>LGC</t>
  </si>
  <si>
    <t>LGD</t>
  </si>
  <si>
    <t>DC</t>
  </si>
  <si>
    <t>Entré l'anéée ICI</t>
  </si>
  <si>
    <t>NL - 29,530589</t>
  </si>
  <si>
    <t>PL + 29,530589</t>
  </si>
  <si>
    <t>NL + 29,530589</t>
  </si>
  <si>
    <t>PL-29,530589</t>
  </si>
  <si>
    <t xml:space="preserve">W  </t>
  </si>
  <si>
    <t>PQ - 29,530589</t>
  </si>
  <si>
    <t>PQ + 29,530589</t>
  </si>
  <si>
    <t>DQ - 29,530589</t>
  </si>
  <si>
    <t>DQ + 29,530589</t>
  </si>
  <si>
    <t>ICI en Bas</t>
  </si>
  <si>
    <t>Calendrier à côté Page à côté en bas ICI</t>
  </si>
  <si>
    <t>si E&lt;13 E = E-1</t>
  </si>
  <si>
    <t>si E &gt;13 E = E-13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</si>
</sst>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dd\ mmmm"/>
    <numFmt numFmtId="165" formatCode="0.00000"/>
    <numFmt numFmtId="166" formatCode="0.000"/>
    <numFmt numFmtId="167" formatCode="0.0000"/>
    <numFmt numFmtId="168" formatCode="0.00000000"/>
    <numFmt numFmtId="169" formatCode="0.0000000"/>
    <numFmt numFmtId="170" formatCode="0.0"/>
    <numFmt numFmtId="171" formatCode="&quot;Vrai&quot;;&quot;Vrai&quot;;&quot;Faux&quot;"/>
    <numFmt numFmtId="172" formatCode="&quot;Actif&quot;;&quot;Actif&quot;;&quot;Inactif&quot;"/>
  </numFmts>
  <fonts count="10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57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7" fontId="0" fillId="0" borderId="9" xfId="0" applyNumberFormat="1" applyBorder="1" applyAlignment="1">
      <alignment/>
    </xf>
    <xf numFmtId="16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workbookViewId="0" topLeftCell="L12">
      <selection activeCell="N16" sqref="N16"/>
    </sheetView>
  </sheetViews>
  <sheetFormatPr defaultColWidth="11.00390625" defaultRowHeight="15.75"/>
  <cols>
    <col min="1" max="1" width="12.375" style="0" customWidth="1"/>
    <col min="2" max="2" width="13.75390625" style="0" customWidth="1"/>
    <col min="3" max="3" width="15.875" style="0" customWidth="1"/>
    <col min="4" max="4" width="14.75390625" style="0" customWidth="1"/>
    <col min="5" max="5" width="13.75390625" style="0" customWidth="1"/>
    <col min="6" max="6" width="14.00390625" style="0" customWidth="1"/>
    <col min="7" max="7" width="13.375" style="0" customWidth="1"/>
    <col min="8" max="8" width="14.375" style="0" customWidth="1"/>
    <col min="9" max="9" width="13.875" style="1" customWidth="1"/>
    <col min="10" max="10" width="13.625" style="0" customWidth="1"/>
    <col min="11" max="11" width="14.00390625" style="0" customWidth="1"/>
    <col min="12" max="12" width="12.25390625" style="0" customWidth="1"/>
    <col min="13" max="13" width="12.375" style="21" customWidth="1"/>
    <col min="14" max="15" width="12.375" style="0" customWidth="1"/>
    <col min="16" max="16" width="13.125" style="0" customWidth="1"/>
    <col min="17" max="17" width="9.00390625" style="0" customWidth="1"/>
    <col min="18" max="18" width="12.25390625" style="0" customWidth="1"/>
    <col min="19" max="31" width="6.875" style="0" customWidth="1"/>
  </cols>
  <sheetData>
    <row r="1" spans="8:9" ht="16.5" thickBot="1">
      <c r="H1" s="1"/>
      <c r="I1"/>
    </row>
    <row r="2" spans="1:9" ht="15.75">
      <c r="A2" s="5" t="s">
        <v>11</v>
      </c>
      <c r="B2" s="14" t="s">
        <v>12</v>
      </c>
      <c r="C2" s="14" t="s">
        <v>14</v>
      </c>
      <c r="D2" s="15" t="s">
        <v>13</v>
      </c>
      <c r="E2" t="s">
        <v>9</v>
      </c>
      <c r="H2" s="1"/>
      <c r="I2"/>
    </row>
    <row r="3" spans="1:9" ht="16.5" thickBot="1">
      <c r="A3" s="6"/>
      <c r="B3" s="16" t="b">
        <f>(X71/400)-INT(X71/400)=0</f>
        <v>0</v>
      </c>
      <c r="C3" s="16" t="b">
        <f>(X71/100)-INT(X71/100)=0</f>
        <v>0</v>
      </c>
      <c r="D3" s="7" t="b">
        <f>IF(C3,FALSE(),(X71/4)-INT(X71/4)=0)</f>
        <v>0</v>
      </c>
      <c r="E3" t="s">
        <v>10</v>
      </c>
      <c r="H3" s="1"/>
      <c r="I3"/>
    </row>
    <row r="4" spans="8:9" ht="16.5" thickBot="1">
      <c r="H4" s="1"/>
      <c r="I4"/>
    </row>
    <row r="5" spans="3:9" ht="15.75">
      <c r="C5" s="8" t="s">
        <v>16</v>
      </c>
      <c r="D5" s="9">
        <f>IF(OR(Y71=1,Y71=3,Y71=5,Y71=7,Y71=8,Y71=10,Y71=12),31,30)</f>
        <v>31</v>
      </c>
      <c r="E5">
        <f>IF(OR(B3,D3),366,365)</f>
        <v>365</v>
      </c>
      <c r="H5" s="1"/>
      <c r="I5"/>
    </row>
    <row r="6" spans="3:9" ht="16.5" thickBot="1">
      <c r="C6" s="10" t="s">
        <v>17</v>
      </c>
      <c r="D6" s="11">
        <f>IF(Y71=2,IF(OR(B3,D3),29,28),D5)</f>
        <v>31</v>
      </c>
      <c r="E6" s="30">
        <f>D8-C8</f>
        <v>150</v>
      </c>
      <c r="H6" s="1"/>
      <c r="I6"/>
    </row>
    <row r="7" spans="4:9" ht="16.5" thickBot="1">
      <c r="D7" s="4" t="s">
        <v>15</v>
      </c>
      <c r="G7" s="31"/>
      <c r="H7" s="1"/>
      <c r="I7"/>
    </row>
    <row r="8" spans="1:9" ht="16.5" thickBot="1">
      <c r="A8" s="27" t="s">
        <v>83</v>
      </c>
      <c r="C8" s="12">
        <f>(DATE($X$71,1,1))</f>
        <v>40179</v>
      </c>
      <c r="D8" s="13">
        <f>(DATE($X$71,$Y71,D6))</f>
        <v>40329</v>
      </c>
      <c r="E8" s="32">
        <f>ROUND(E6/E5,2)</f>
        <v>0.41</v>
      </c>
      <c r="F8">
        <f>((A12-2000)*12.3685)</f>
        <v>128.756085000001</v>
      </c>
      <c r="H8" s="1"/>
      <c r="I8"/>
    </row>
    <row r="9" spans="4:9" ht="15.75">
      <c r="D9" s="30"/>
      <c r="H9" s="1"/>
      <c r="I9"/>
    </row>
    <row r="10" spans="1:14" ht="15.75">
      <c r="A10" s="22" t="s">
        <v>74</v>
      </c>
      <c r="B10" s="26"/>
      <c r="E10" s="33" t="s">
        <v>73</v>
      </c>
      <c r="H10" s="1"/>
      <c r="I10" s="33" t="s">
        <v>79</v>
      </c>
      <c r="N10" s="33" t="s">
        <v>75</v>
      </c>
    </row>
    <row r="11" spans="1:14" ht="15.75">
      <c r="A11" s="1" t="s">
        <v>2</v>
      </c>
      <c r="E11" s="1" t="s">
        <v>2</v>
      </c>
      <c r="H11" s="1"/>
      <c r="I11" s="1" t="s">
        <v>2</v>
      </c>
      <c r="N11" s="1" t="s">
        <v>2</v>
      </c>
    </row>
    <row r="12" spans="1:14" ht="15.75">
      <c r="A12" s="19">
        <f>X71+E8</f>
        <v>2010.41</v>
      </c>
      <c r="D12">
        <v>7.38264725</v>
      </c>
      <c r="E12" s="19">
        <f>X71+E8</f>
        <v>2010.41</v>
      </c>
      <c r="H12" s="1"/>
      <c r="I12" s="19">
        <f>X71+E8</f>
        <v>2010.41</v>
      </c>
      <c r="N12" s="19">
        <f>X71+E8</f>
        <v>2010.41</v>
      </c>
    </row>
    <row r="13" spans="7:16" ht="15.75">
      <c r="G13" s="19"/>
      <c r="H13" s="28"/>
      <c r="I13"/>
      <c r="K13" s="19"/>
      <c r="P13" s="19"/>
    </row>
    <row r="14" spans="1:16" ht="15.75">
      <c r="A14" s="1" t="s">
        <v>3</v>
      </c>
      <c r="B14" s="1" t="s">
        <v>4</v>
      </c>
      <c r="C14" s="1" t="s">
        <v>5</v>
      </c>
      <c r="E14" s="1" t="s">
        <v>3</v>
      </c>
      <c r="F14" s="1" t="s">
        <v>4</v>
      </c>
      <c r="G14" s="1" t="s">
        <v>5</v>
      </c>
      <c r="H14" s="28"/>
      <c r="I14" s="1" t="s">
        <v>3</v>
      </c>
      <c r="J14" s="1" t="s">
        <v>4</v>
      </c>
      <c r="K14" s="1" t="s">
        <v>5</v>
      </c>
      <c r="N14" s="1" t="s">
        <v>3</v>
      </c>
      <c r="O14" s="1" t="s">
        <v>4</v>
      </c>
      <c r="P14" s="1" t="s">
        <v>5</v>
      </c>
    </row>
    <row r="15" spans="1:16" ht="15.75">
      <c r="A15">
        <f>INT((A12-2000)*12.3685)</f>
        <v>128</v>
      </c>
      <c r="B15">
        <f>ROUND(INT(A15)/1236.85,5)</f>
        <v>0.10349</v>
      </c>
      <c r="C15" s="2">
        <f>2451550.09765+(29.530588853*INT(A15))+(0.0001337*B15*B15)-(0.00000015*B15*B15*B15)+(0.00000000073*B15*B15*B15*B15)</f>
        <v>2455330.0130246156</v>
      </c>
      <c r="E15">
        <f>IF(E66+7.3826*2&gt;D6,INT((E12-2000)*12.3685)+0.5-1,INT((E12-2000)*12.3685)+0.5)</f>
        <v>128.5</v>
      </c>
      <c r="F15">
        <f>((E15)/1236.855)</f>
        <v>0.10389253388634884</v>
      </c>
      <c r="G15" s="2">
        <f>(2451550.09765+(29.530588853*(E15))+(0.0001337*F15*F15)-(0.00000015*F15*F15*F15)+(0.00000000073*F15*F15*F15*F15))</f>
        <v>2455344.7783190534</v>
      </c>
      <c r="H15" s="28"/>
      <c r="I15">
        <f>IF(E66+7.3826&gt;D6,INT((I12-2000)*12.3685)+0.25-1,INT((I12-2000)*12.3685)+0.25)</f>
        <v>128.25</v>
      </c>
      <c r="J15">
        <f>ROUND((I15)/1236.85,5)</f>
        <v>0.10369</v>
      </c>
      <c r="K15" s="2">
        <f>(2451550.09765+(29.530588853*(I15))+(0.0001337*J15*J15)-(0.00000015*J15*J15*J15)+(0.00000000073*J15*J15*J15*J15))</f>
        <v>2455337.3956718347</v>
      </c>
      <c r="N15">
        <f>IF(E66+7.38264725*3&gt;D6,INT((N12-2000)*12.3685)+0.75-1,INT((N12-2000)*12.3685)+0.75)</f>
        <v>127.75</v>
      </c>
      <c r="O15">
        <f>ROUND((N15)/1236.85,5)</f>
        <v>0.10329</v>
      </c>
      <c r="P15" s="2">
        <f>(2451550.09765+(29.530588853*(N15))+(0.0001337*O15*O15)-(0.00000015*O15*O15*O15)+(0.00000000073*O15*O15*O15*O15))</f>
        <v>2455322.630377397</v>
      </c>
    </row>
    <row r="16" spans="1:16" ht="15.75">
      <c r="A16" s="1" t="s">
        <v>6</v>
      </c>
      <c r="B16" s="1" t="s">
        <v>7</v>
      </c>
      <c r="C16" s="1" t="s">
        <v>8</v>
      </c>
      <c r="E16" s="1" t="s">
        <v>6</v>
      </c>
      <c r="F16" s="1" t="s">
        <v>7</v>
      </c>
      <c r="G16" s="1" t="s">
        <v>8</v>
      </c>
      <c r="H16" s="28"/>
      <c r="I16" s="1" t="s">
        <v>6</v>
      </c>
      <c r="J16" s="1" t="s">
        <v>7</v>
      </c>
      <c r="K16" s="1" t="s">
        <v>8</v>
      </c>
      <c r="N16" s="1" t="s">
        <v>6</v>
      </c>
      <c r="O16" s="1" t="s">
        <v>7</v>
      </c>
      <c r="P16" s="1" t="s">
        <v>8</v>
      </c>
    </row>
    <row r="17" spans="1:16" ht="15.75">
      <c r="A17" s="20">
        <f>1-(0.002516*B15)-(0.0000074*B15*B15)</f>
        <v>0.9997395399046672</v>
      </c>
      <c r="B17">
        <f>2.5534+(29.10535669*INT(A15))-(0.0000218*B15*B15)-(0.00000011*B15*B15*B15)</f>
        <v>3728.039056086396</v>
      </c>
      <c r="C17" s="19">
        <f>201.5643+(385.81693528*(A15))+(0.0107438*B15*B15)+(0.00001239*B15*B15*B15)-(0.000000058*B15*B15*B15*B15)</f>
        <v>49586.13213092175</v>
      </c>
      <c r="E17" s="20">
        <f>1-(0.002516*F15)-(0.0000074*F15*F15)</f>
        <v>0.9997385265116684</v>
      </c>
      <c r="F17">
        <f>2.5534+(29.10535669*(E15))-(0.0000218*F15*F15)-(0.00000011*F15*F15*F15)</f>
        <v>3742.591734429575</v>
      </c>
      <c r="G17" s="19">
        <f>201.5643+(385.81693528*(E15))+(0.0107438*F15*F15)+(0.00001239*F15*F15*F15)-(0.000000058*F15*F15*F15*F15)</f>
        <v>49779.0405994588</v>
      </c>
      <c r="H17" s="28"/>
      <c r="I17" s="20">
        <f>1-(0.002516*J15)-(0.0000074*J15*J15)</f>
        <v>0.9997390363980408</v>
      </c>
      <c r="J17">
        <f>2.5534+(29.10535669*(I15))-(0.0000218*J15*J15)-(0.00000011*J15*J15*J15)</f>
        <v>3735.3153952579914</v>
      </c>
      <c r="K17" s="19">
        <f>201.5643+(385.81693528*(I15))+(0.0107438*J15*J15)+(0.00001239*J15*J15*J15)-(0.000000058*J15*J15*J15*J15)</f>
        <v>49682.58636518701</v>
      </c>
      <c r="N17" s="20">
        <f>1-(0.002516*O15)-(0.0000074*O15*O15)</f>
        <v>0.9997400434107017</v>
      </c>
      <c r="O17">
        <f>2.5534+(29.10535669*(N15))-(0.0000218*O15*O15)-(0.00000011*O15*O15*O15)</f>
        <v>3720.762716914798</v>
      </c>
      <c r="P17" s="19">
        <f>201.5643+(385.81693528*(N15))+(0.0107438*O15*O15)+(0.00001239*O15*O15*O15)-(0.000000058*O15*O15*O15*O15)</f>
        <v>49489.67789665736</v>
      </c>
    </row>
    <row r="18" spans="1:15" ht="15.75">
      <c r="A18" s="1" t="s">
        <v>18</v>
      </c>
      <c r="B18" s="1" t="s">
        <v>19</v>
      </c>
      <c r="E18" s="1" t="s">
        <v>18</v>
      </c>
      <c r="F18" s="1" t="s">
        <v>19</v>
      </c>
      <c r="H18" s="28"/>
      <c r="I18" s="1" t="s">
        <v>18</v>
      </c>
      <c r="J18" s="1" t="s">
        <v>19</v>
      </c>
      <c r="N18" s="1" t="s">
        <v>18</v>
      </c>
      <c r="O18" s="1" t="s">
        <v>19</v>
      </c>
    </row>
    <row r="19" spans="1:15" ht="15.75">
      <c r="A19" s="19">
        <f>160.7108+390.67050274*(A15)-0.0016341*B15*B15-0.00000227*B15*B15*B15+0.000000011*B15*B15*B15*B15</f>
        <v>50166.53513321598</v>
      </c>
      <c r="B19">
        <f>124.7746-1.5637558*(A15)+0.0020691*B15*B15+0.00000215*B15*B15*B15</f>
        <v>-75.3861202371833</v>
      </c>
      <c r="E19" s="19">
        <f>160.7108+390.67050274*(E15)-0.0016341*F15*F15-0.00000227*F15*F15*F15+0.000000011*F15*F15*F15*F15</f>
        <v>50361.87038444954</v>
      </c>
      <c r="F19">
        <f>124.7746-1.5637558*(E15)+0.0020691*F15*F15+0.00000215*F15*F15*F15</f>
        <v>-76.16799796443003</v>
      </c>
      <c r="H19" s="28"/>
      <c r="I19" s="19">
        <f>160.7108+390.67050274*(I15)-0.0016341*J15*J15-0.00000227*J15*J15*J15+0.000000011*J15*J15*J15*J15</f>
        <v>50264.20275883325</v>
      </c>
      <c r="J19">
        <f>124.7746-1.5637558*(I15)+0.0020691*J15*J15+0.00000215*J15*J15*J15</f>
        <v>-75.77705910143422</v>
      </c>
      <c r="N19" s="19">
        <f>160.7108+390.67050274*(N15)-0.0016341*O15*O15-0.00000227*O15*O15*O15+0.000000011*O15*O15*O15*O15</f>
        <v>50068.86750759858</v>
      </c>
      <c r="O19">
        <f>124.7746-1.5637558*(N15)+0.0020691*O15*O15+0.00000215*O15*O15*O15</f>
        <v>-74.9951813727668</v>
      </c>
    </row>
    <row r="20" spans="1:9" ht="15.75">
      <c r="A20" s="2"/>
      <c r="H20" s="1"/>
      <c r="I20"/>
    </row>
    <row r="21" ht="15.75">
      <c r="A21" s="2"/>
    </row>
    <row r="22" spans="4:15" ht="15.75">
      <c r="D22" s="4" t="s">
        <v>34</v>
      </c>
      <c r="F22" s="4" t="s">
        <v>35</v>
      </c>
      <c r="G22" s="1"/>
      <c r="I22"/>
      <c r="M22" s="4" t="s">
        <v>79</v>
      </c>
      <c r="O22" s="25" t="s">
        <v>75</v>
      </c>
    </row>
    <row r="23" spans="1:18" ht="15.75">
      <c r="A23" s="1" t="s">
        <v>20</v>
      </c>
      <c r="B23">
        <f>299.77+0.107408*INT(A15)-0.009173*B15*B15</f>
        <v>313.51812575551793</v>
      </c>
      <c r="C23">
        <f>0.000325*SIN(RADIANS(B23))</f>
        <v>-0.00023567588554797736</v>
      </c>
      <c r="D23">
        <f>-0.4072*SIN(RADIANS(C17))</f>
        <v>0.40627250601288595</v>
      </c>
      <c r="E23" t="s">
        <v>36</v>
      </c>
      <c r="F23">
        <f>-0.40614*SIN(RADIANS(G17))</f>
        <v>-0.401094621911877</v>
      </c>
      <c r="G23" s="1" t="s">
        <v>20</v>
      </c>
      <c r="H23" s="21">
        <f>299.77+0.107408*(E15)-0.009173*F15*F15</f>
        <v>313.57182898976964</v>
      </c>
      <c r="I23" s="21">
        <f>0.000325*SIN(RADIANS(H23))</f>
        <v>-0.00023546602426036554</v>
      </c>
      <c r="J23" s="1" t="s">
        <v>20</v>
      </c>
      <c r="K23" s="21">
        <f>299.77+0.107408*(I15)-0.009173*J15*J15</f>
        <v>313.5449773754255</v>
      </c>
      <c r="L23" s="21">
        <f>0.000325*SIN(RADIANS(K23))</f>
        <v>-0.0002355709807627641</v>
      </c>
      <c r="M23">
        <f>-0.40614*SIN(RADIANS(K17))</f>
        <v>-0.018327172870358666</v>
      </c>
      <c r="N23" t="s">
        <v>36</v>
      </c>
      <c r="O23">
        <f>-0.40614*SIN(RADIANS(P17))</f>
        <v>-0.07277288046916432</v>
      </c>
      <c r="P23" s="1" t="s">
        <v>20</v>
      </c>
      <c r="Q23" s="21">
        <f>299.77+0.107408*(N15)-0.009173*O15*O15</f>
        <v>313.4912741348765</v>
      </c>
      <c r="R23" s="21">
        <f>0.000325*SIN(RADIANS(Q23))</f>
        <v>-0.0002357807385740785</v>
      </c>
    </row>
    <row r="24" spans="1:18" ht="15.75">
      <c r="A24" s="1" t="s">
        <v>21</v>
      </c>
      <c r="B24">
        <f>251.88+0.016321*INT(A15)</f>
        <v>253.969088</v>
      </c>
      <c r="C24">
        <f>0.000165*SIN(RADIANS(B24))</f>
        <v>-0.00015858361946324425</v>
      </c>
      <c r="D24">
        <f>0.17241*A17*SIN(RADIANS(B17))</f>
        <v>0.13575317964393904</v>
      </c>
      <c r="E24" t="s">
        <v>7</v>
      </c>
      <c r="F24">
        <f>0.17302*E17*SIN(RADIANS(F17))</f>
        <v>0.10508051241795031</v>
      </c>
      <c r="G24" s="1" t="s">
        <v>21</v>
      </c>
      <c r="H24" s="21">
        <f>251.88+0.016321*(E15)</f>
        <v>253.9772485</v>
      </c>
      <c r="I24" s="21">
        <f>0.000165*SIN(RADIANS(H24))</f>
        <v>-0.000158590107671838</v>
      </c>
      <c r="J24" s="1" t="s">
        <v>21</v>
      </c>
      <c r="K24" s="21">
        <f>251.88+0.016321*(I15)</f>
        <v>253.97316825</v>
      </c>
      <c r="L24" s="21">
        <f>0.000165*SIN(RADIANS(K24))</f>
        <v>-0.0001585868639696702</v>
      </c>
      <c r="M24">
        <f>0.17302*I17*SIN(RADIANS(J17))</f>
        <v>0.12163655093776551</v>
      </c>
      <c r="N24" t="s">
        <v>7</v>
      </c>
      <c r="O24">
        <f>0.17302*N17*SIN(RADIANS(O17))</f>
        <v>0.1486362098972234</v>
      </c>
      <c r="P24" s="1" t="s">
        <v>21</v>
      </c>
      <c r="Q24" s="21">
        <f>251.88+0.016321*(N15)</f>
        <v>253.96500774999998</v>
      </c>
      <c r="R24" s="21">
        <f>0.000165*SIN(RADIANS(Q24))</f>
        <v>-0.00015858037415257656</v>
      </c>
    </row>
    <row r="25" spans="1:18" ht="15.75">
      <c r="A25" s="1" t="s">
        <v>22</v>
      </c>
      <c r="B25">
        <f>251.83+26.651886*INT(A15)</f>
        <v>3663.271408</v>
      </c>
      <c r="C25">
        <f>0.000164*SIN(RADIANS(B25))</f>
        <v>0.00014647611716670517</v>
      </c>
      <c r="D25">
        <f>0.01608*SIN(RADIANS(2*C17))</f>
        <v>0.0021644368802493795</v>
      </c>
      <c r="E25" t="s">
        <v>37</v>
      </c>
      <c r="F25">
        <f>0.01614*SIN(RADIANS(2*G17))</f>
        <v>-0.005009283190208959</v>
      </c>
      <c r="G25" s="1" t="s">
        <v>22</v>
      </c>
      <c r="H25" s="21">
        <f>251.83+26.651886*(E15)</f>
        <v>3676.597351</v>
      </c>
      <c r="I25" s="21">
        <f>0.000164*SIN(RADIANS(H25))</f>
        <v>0.00015953348666476177</v>
      </c>
      <c r="J25" s="1" t="s">
        <v>22</v>
      </c>
      <c r="K25" s="21">
        <f>251.83+26.651886*(I15)</f>
        <v>3669.9343795</v>
      </c>
      <c r="L25" s="21">
        <f>0.000164*SIN(RADIANS(K25))</f>
        <v>0.0001540452477292176</v>
      </c>
      <c r="M25">
        <f>0.01614*SIN(RADIANS(2*K17))</f>
        <v>0.0014551595456034423</v>
      </c>
      <c r="N25" t="s">
        <v>37</v>
      </c>
      <c r="O25">
        <f>0.01614*SIN(RADIANS(2*P17))</f>
        <v>-0.005690379125324052</v>
      </c>
      <c r="P25" s="1" t="s">
        <v>22</v>
      </c>
      <c r="Q25" s="21">
        <f>251.83+26.651886*(N15)</f>
        <v>3656.6084365</v>
      </c>
      <c r="R25" s="21">
        <f>0.000164*SIN(RADIANS(Q25))</f>
        <v>0.00013692834117204895</v>
      </c>
    </row>
    <row r="26" spans="1:18" ht="15.75">
      <c r="A26" s="1" t="s">
        <v>23</v>
      </c>
      <c r="B26">
        <f>349.42+36.412478*INT(A15)</f>
        <v>5010.217184</v>
      </c>
      <c r="C26">
        <f>0.000126*SIN(RADIANS(B26))</f>
        <v>-6.258592377322413E-05</v>
      </c>
      <c r="D26">
        <f>0.01039*SIN(RADIANS(2*A19))</f>
        <v>-0.0099397243694443</v>
      </c>
      <c r="E26" t="s">
        <v>38</v>
      </c>
      <c r="F26">
        <f>0.01043*SIN(RADIANS(2*E19))</f>
        <v>-0.010131497066336806</v>
      </c>
      <c r="G26" s="1" t="s">
        <v>23</v>
      </c>
      <c r="H26" s="21">
        <f>349.42+36.412478*(E15)</f>
        <v>5028.423423</v>
      </c>
      <c r="I26" s="21">
        <f>0.000126*SIN(RADIANS(H26))</f>
        <v>-2.528535815755587E-05</v>
      </c>
      <c r="J26" s="1" t="s">
        <v>23</v>
      </c>
      <c r="K26" s="21">
        <f>349.42+36.412478*(I15)</f>
        <v>5019.3203035</v>
      </c>
      <c r="L26" s="21">
        <f>0.000126*SIN(RADIANS(K26))</f>
        <v>-4.449606019867319E-05</v>
      </c>
      <c r="M26">
        <f>0.01043*SIN(RADIANS(2*I19))</f>
        <v>0.0104259614966927</v>
      </c>
      <c r="N26" t="s">
        <v>38</v>
      </c>
      <c r="O26">
        <f>0.01043*SIN(RADIANS(2*N19))</f>
        <v>0.008819485284418477</v>
      </c>
      <c r="P26" s="1" t="s">
        <v>23</v>
      </c>
      <c r="Q26" s="21">
        <f>349.42+36.412478*(N15)</f>
        <v>5001.1140645000005</v>
      </c>
      <c r="R26" s="21">
        <f>0.000126*SIN(RADIANS(Q26))</f>
        <v>-7.909927224695207E-05</v>
      </c>
    </row>
    <row r="27" spans="1:18" ht="15.75">
      <c r="A27" s="1" t="s">
        <v>24</v>
      </c>
      <c r="B27">
        <f>84.66+18.206239*INT(A15)</f>
        <v>2415.058592</v>
      </c>
      <c r="C27">
        <f>0.00011*SIN(RADIANS(B27))</f>
        <v>-0.0001062808995127449</v>
      </c>
      <c r="D27">
        <f>0.00739*A17*SIN(RADIANS(C17-B17))</f>
        <v>0.004934661755520506</v>
      </c>
      <c r="E27" t="s">
        <v>39</v>
      </c>
      <c r="F27">
        <f>0.00734*E17*SIN(RADIANS(G17-F17))</f>
        <v>-0.00505594998082644</v>
      </c>
      <c r="G27" s="1" t="s">
        <v>24</v>
      </c>
      <c r="H27" s="21">
        <f>84.66+18.206239*(E15)</f>
        <v>2424.1617115</v>
      </c>
      <c r="I27" s="21">
        <f>0.00011*SIN(RADIANS(H27))</f>
        <v>-0.00010942942502473082</v>
      </c>
      <c r="J27" s="1" t="s">
        <v>24</v>
      </c>
      <c r="K27" s="21">
        <f>84.66+18.206239*(I15)</f>
        <v>2419.6101517499997</v>
      </c>
      <c r="L27" s="21">
        <f>0.00011*SIN(RADIANS(K27))</f>
        <v>-0.000108196378402265</v>
      </c>
      <c r="M27">
        <f>0.00734*I17*SIN(RADIANS(K17-J17))</f>
        <v>-0.005390343336721411</v>
      </c>
      <c r="N27" t="s">
        <v>39</v>
      </c>
      <c r="O27">
        <f>0.00734*N17*SIN(RADIANS(P17-O17))</f>
        <v>0.005530995266960307</v>
      </c>
      <c r="P27" s="1" t="s">
        <v>24</v>
      </c>
      <c r="Q27" s="21">
        <f>84.66+18.206239*(N15)</f>
        <v>2410.50703225</v>
      </c>
      <c r="R27" s="21">
        <f>0.00011*SIN(RADIANS(Q27))</f>
        <v>-0.00010369506994910737</v>
      </c>
    </row>
    <row r="28" spans="1:18" ht="15.75">
      <c r="A28" s="1" t="s">
        <v>25</v>
      </c>
      <c r="B28">
        <f>141.74+53.303771*INT(A15)</f>
        <v>6964.6226879999995</v>
      </c>
      <c r="C28">
        <f>0.000062*SIN(RADIANS(B28))</f>
        <v>5.1020509842299986E-05</v>
      </c>
      <c r="D28">
        <f>-0.00514*A17*SIN(RADIANS(C17+B17))</f>
        <v>-0.0028862184091528417</v>
      </c>
      <c r="E28" t="s">
        <v>40</v>
      </c>
      <c r="F28">
        <f>-0.00515*E17*SIN(RADIANS(G17+F17))</f>
        <v>0.004530386856239463</v>
      </c>
      <c r="G28" s="1" t="s">
        <v>25</v>
      </c>
      <c r="H28" s="21">
        <f>141.74+53.303771*(E15)</f>
        <v>6991.2745735</v>
      </c>
      <c r="I28" s="21">
        <f>0.000062*SIN(RADIANS(H28))</f>
        <v>2.97979878144197E-05</v>
      </c>
      <c r="J28" s="1" t="s">
        <v>25</v>
      </c>
      <c r="K28" s="21">
        <f>141.74+53.303771*(I15)</f>
        <v>6977.948630749999</v>
      </c>
      <c r="L28" s="21">
        <f>0.000062*SIN(RADIANS(K28))</f>
        <v>4.1527390015624266E-05</v>
      </c>
      <c r="M28">
        <f>-0.00515*I17*SIN(RADIANS(K17+J17))</f>
        <v>-0.003451678680613753</v>
      </c>
      <c r="N28" t="s">
        <v>40</v>
      </c>
      <c r="O28">
        <f>-0.00515*N17*SIN(RADIANS(P17+O17))</f>
        <v>0.004824474081058473</v>
      </c>
      <c r="P28" s="1" t="s">
        <v>25</v>
      </c>
      <c r="Q28" s="21">
        <f>141.74+53.303771*(N15)</f>
        <v>6951.29674525</v>
      </c>
      <c r="R28" s="21">
        <f>0.000062*SIN(RADIANS(Q28))</f>
        <v>5.7766135380102964E-05</v>
      </c>
    </row>
    <row r="29" spans="1:18" ht="15.75">
      <c r="A29" s="1" t="s">
        <v>26</v>
      </c>
      <c r="B29">
        <f>207.14+2.453732*INT(A15)</f>
        <v>521.2176959999999</v>
      </c>
      <c r="C29">
        <f>0.00006*SIN(RADIANS(B29))</f>
        <v>1.931839823766211E-05</v>
      </c>
      <c r="D29">
        <f>0.00208*A17*A17*SIN(RADIANS(2*B17))</f>
        <v>-0.0020178477030230605</v>
      </c>
      <c r="E29" t="s">
        <v>41</v>
      </c>
      <c r="F29">
        <f>0.00209*E17*E17*SIN(RADIANS(2*F17))</f>
        <v>-0.0020159878245373953</v>
      </c>
      <c r="G29" s="1" t="s">
        <v>26</v>
      </c>
      <c r="H29" s="21">
        <f>207.14+2.453732*(E15)</f>
        <v>522.4445619999999</v>
      </c>
      <c r="I29" s="21">
        <f>0.00006*SIN(RADIANS(H29))</f>
        <v>1.8097707112780306E-05</v>
      </c>
      <c r="J29" s="1" t="s">
        <v>26</v>
      </c>
      <c r="K29" s="21">
        <f>207.14+2.453732*(I15)</f>
        <v>521.8311289999999</v>
      </c>
      <c r="L29" s="21">
        <f>0.00006*SIN(RADIANS(K29))</f>
        <v>1.870912495554648E-05</v>
      </c>
      <c r="M29">
        <f>0.00209*I17*I17*SIN(RADIANS(2*J17))</f>
        <v>-0.0020887827213144855</v>
      </c>
      <c r="N29" t="s">
        <v>41</v>
      </c>
      <c r="O29">
        <f>0.00209*N17*N17*SIN(RADIANS(2*O17))</f>
        <v>-0.0018362152281732492</v>
      </c>
      <c r="P29" s="1" t="s">
        <v>26</v>
      </c>
      <c r="Q29" s="21">
        <f>207.14+2.453732*(N15)</f>
        <v>520.604263</v>
      </c>
      <c r="R29" s="21">
        <f>0.00006*SIN(RADIANS(Q29))</f>
        <v>1.992545712029127E-05</v>
      </c>
    </row>
    <row r="30" spans="1:18" ht="15.75">
      <c r="A30" s="1" t="s">
        <v>27</v>
      </c>
      <c r="B30">
        <f>154.84+7.30686*INT(A15)</f>
        <v>1090.11808</v>
      </c>
      <c r="C30">
        <f>0.000056*SIN(RADIANS(B30))</f>
        <v>9.837933435526345E-06</v>
      </c>
      <c r="D30">
        <f>-0.00111*SIN(RADIANS(C17-2*A19))</f>
        <v>-0.00025086331713165166</v>
      </c>
      <c r="E30" t="s">
        <v>42</v>
      </c>
      <c r="F30">
        <f>-0.00111*SIN(RADIANS(G17-2*E19))</f>
        <v>-9.095501613362333E-05</v>
      </c>
      <c r="G30" s="1" t="s">
        <v>27</v>
      </c>
      <c r="H30" s="21">
        <f>154.84+7.30686*(E15)</f>
        <v>1093.77151</v>
      </c>
      <c r="I30" s="21">
        <f>0.000056*SIN(RADIANS(H30))</f>
        <v>1.3330830078751175E-05</v>
      </c>
      <c r="J30" s="1" t="s">
        <v>27</v>
      </c>
      <c r="K30" s="21">
        <f>154.84+7.30686*(I15)</f>
        <v>1091.944795</v>
      </c>
      <c r="L30" s="21">
        <f>0.000056*SIN(RADIANS(K30))</f>
        <v>1.1590271863873772E-05</v>
      </c>
      <c r="M30">
        <f>-0.00111*SIN(RADIANS(K17-2*I19))</f>
        <v>0.001107046182459853</v>
      </c>
      <c r="N30" t="s">
        <v>42</v>
      </c>
      <c r="O30">
        <f>-0.00111*SIN(RADIANS(P17-2*N19))</f>
        <v>-0.0010295880941270754</v>
      </c>
      <c r="P30" s="1" t="s">
        <v>27</v>
      </c>
      <c r="Q30" s="21">
        <f>154.84+7.30686*(N15)</f>
        <v>1088.291365</v>
      </c>
      <c r="R30" s="21">
        <f>0.000056*SIN(RADIANS(Q30))</f>
        <v>8.075595849494868E-06</v>
      </c>
    </row>
    <row r="31" spans="1:18" ht="15.75">
      <c r="A31" s="1" t="s">
        <v>28</v>
      </c>
      <c r="B31">
        <f>34.52+27.261239*INT(A15)</f>
        <v>3523.958592</v>
      </c>
      <c r="C31">
        <f>0.000047*SIN(RADIANS(B31))</f>
        <v>-4.5612104629047976E-05</v>
      </c>
      <c r="D31">
        <f>-0.00057*SIN(RADIANS(C17+2*A19))</f>
        <v>-0.00020238867301063083</v>
      </c>
      <c r="E31" t="s">
        <v>43</v>
      </c>
      <c r="F31">
        <f>-0.00057*SIN(RADIANS(G17+2*E19))</f>
        <v>-0.00022071300103109124</v>
      </c>
      <c r="G31" s="1" t="s">
        <v>28</v>
      </c>
      <c r="H31" s="21">
        <f>34.52+27.261239*(E15)</f>
        <v>3537.5892115</v>
      </c>
      <c r="I31" s="21">
        <f>0.000047*SIN(RADIANS(H31))</f>
        <v>-4.1655667589485917E-05</v>
      </c>
      <c r="J31" s="1" t="s">
        <v>28</v>
      </c>
      <c r="K31" s="21">
        <f>34.52+27.261239*(I15)</f>
        <v>3530.77390175</v>
      </c>
      <c r="L31" s="21">
        <f>0.000047*SIN(RADIANS(K31))</f>
        <v>-4.3944404546271324E-05</v>
      </c>
      <c r="M31">
        <f>-0.00057*SIN(RADIANS(K17+2*I19))</f>
        <v>-0.0005699145898441292</v>
      </c>
      <c r="N31" t="s">
        <v>43</v>
      </c>
      <c r="O31">
        <f>-0.00057*SIN(RADIANS(P17+2*N19))</f>
        <v>0.0004196622750708019</v>
      </c>
      <c r="P31" s="1" t="s">
        <v>28</v>
      </c>
      <c r="Q31" s="21">
        <f>34.52+27.261239*(N15)</f>
        <v>3517.14328225</v>
      </c>
      <c r="R31" s="21">
        <f>0.000047*SIN(RADIANS(Q31))</f>
        <v>-4.663519934811009E-05</v>
      </c>
    </row>
    <row r="32" spans="1:18" ht="15.75">
      <c r="A32" s="1" t="s">
        <v>29</v>
      </c>
      <c r="B32">
        <f>207.19+0.121824*INT(A15)</f>
        <v>222.783472</v>
      </c>
      <c r="C32">
        <f>0.000042*SIN(RADIANS(B32))</f>
        <v>-2.8527643972576605E-05</v>
      </c>
      <c r="D32">
        <f>0.00056*A17*SIN(RADIANS(2*C17+B17))</f>
        <v>-0.00048335921765148315</v>
      </c>
      <c r="E32" t="s">
        <v>44</v>
      </c>
      <c r="F32">
        <f>0.00056*E17*SIN(RADIANS(2*G17+F17))</f>
        <v>-0.00018528925640475322</v>
      </c>
      <c r="G32" s="1" t="s">
        <v>29</v>
      </c>
      <c r="H32" s="21">
        <f>207.19+0.121824*(E15)</f>
        <v>222.844384</v>
      </c>
      <c r="I32" s="21">
        <f>0.000042*SIN(RADIANS(H32))</f>
        <v>-2.856039824133887E-05</v>
      </c>
      <c r="J32" s="1" t="s">
        <v>29</v>
      </c>
      <c r="K32" s="21">
        <f>207.19+0.121824*(I15)</f>
        <v>222.813928</v>
      </c>
      <c r="L32" s="21">
        <f>0.000042*SIN(RADIANS(K32))</f>
        <v>-2.854402513956264E-05</v>
      </c>
      <c r="M32">
        <f>0.00056*I17*SIN(RADIANS(2*K17+J17))</f>
        <v>0.00035620036948370913</v>
      </c>
      <c r="N32" t="s">
        <v>44</v>
      </c>
      <c r="O32">
        <f>0.00056*N17*SIN(RADIANS(2*P17+O17))</f>
        <v>0.0005511467138778343</v>
      </c>
      <c r="P32" s="1" t="s">
        <v>29</v>
      </c>
      <c r="Q32" s="21">
        <f>207.19+0.121824*(N15)</f>
        <v>222.753016</v>
      </c>
      <c r="R32" s="21">
        <f>0.000042*SIN(RADIANS(Q32))</f>
        <v>-2.851125474500937E-05</v>
      </c>
    </row>
    <row r="33" spans="1:18" ht="15.75">
      <c r="A33" s="1" t="s">
        <v>30</v>
      </c>
      <c r="B33">
        <f>291.34+1.844379*INT(A15)</f>
        <v>527.4205119999999</v>
      </c>
      <c r="C33">
        <f>0.00004*SIN(RADIANS(B33))</f>
        <v>8.711753893379463E-06</v>
      </c>
      <c r="D33">
        <f>-0.00042*SIN(RADIANS(3*C17))</f>
        <v>-0.0004114162870311667</v>
      </c>
      <c r="E33" t="s">
        <v>45</v>
      </c>
      <c r="F33">
        <f>-0.00042*SIN(RADIANS(3*G17))</f>
        <v>0.00037381655915586854</v>
      </c>
      <c r="G33" s="1" t="s">
        <v>30</v>
      </c>
      <c r="H33" s="21">
        <f>291.34+1.844379*(E15)</f>
        <v>528.3427015</v>
      </c>
      <c r="I33" s="21">
        <f>0.00004*SIN(RADIANS(H33))</f>
        <v>8.082297687817454E-06</v>
      </c>
      <c r="J33" s="1" t="s">
        <v>30</v>
      </c>
      <c r="K33" s="21">
        <f>291.34+1.844379*(I15)</f>
        <v>527.88160675</v>
      </c>
      <c r="L33" s="21">
        <f>0.00004*SIN(RADIANS(K33))</f>
        <v>8.397297711318142E-06</v>
      </c>
      <c r="M33">
        <f>-0.00042*SIN(RADIANS(3*K17))</f>
        <v>-5.670345493902974E-05</v>
      </c>
      <c r="N33" t="s">
        <v>45</v>
      </c>
      <c r="O33">
        <f>-0.00042*SIN(RADIANS(3*P17))</f>
        <v>-0.00021610426770525632</v>
      </c>
      <c r="P33" s="1" t="s">
        <v>30</v>
      </c>
      <c r="Q33" s="21">
        <f>291.34+1.844379*(N15)</f>
        <v>526.95941725</v>
      </c>
      <c r="R33" s="21">
        <f>0.00004*SIN(RADIANS(Q33))</f>
        <v>9.025645868604219E-06</v>
      </c>
    </row>
    <row r="34" spans="1:18" ht="15.75">
      <c r="A34" s="1" t="s">
        <v>31</v>
      </c>
      <c r="B34">
        <f>161.72+24.198154*INT(A15)</f>
        <v>3259.0837119999997</v>
      </c>
      <c r="C34">
        <f>0.000037*SIN(RADIANS(B34))</f>
        <v>1.2097122487278464E-05</v>
      </c>
      <c r="D34">
        <f>0.00042*A17*SIN(RADIANS(B17+2*A19))</f>
        <v>0.00015122301541838277</v>
      </c>
      <c r="E34" t="s">
        <v>46</v>
      </c>
      <c r="F34">
        <f>0.00042*E17*SIN(RADIANS(F17+2*E19))</f>
        <v>0.0003845734140818549</v>
      </c>
      <c r="G34" s="1" t="s">
        <v>31</v>
      </c>
      <c r="H34" s="21">
        <f>161.72+24.198154*(E15)</f>
        <v>3271.1827889999995</v>
      </c>
      <c r="I34" s="21">
        <f>0.000037*SIN(RADIANS(H34))</f>
        <v>1.9157491639755596E-05</v>
      </c>
      <c r="J34" s="1" t="s">
        <v>31</v>
      </c>
      <c r="K34" s="21">
        <f>161.72+24.198154*(I15)</f>
        <v>3265.1332504999996</v>
      </c>
      <c r="L34" s="21">
        <f>0.000037*SIN(RADIANS(K34))</f>
        <v>1.5714820584488193E-05</v>
      </c>
      <c r="M34">
        <f>0.00042*I17*SIN(RADIANS(J17+2*I19))</f>
        <v>-0.0002902056711127125</v>
      </c>
      <c r="N34" t="s">
        <v>46</v>
      </c>
      <c r="O34">
        <f>0.00042*N17*SIN(RADIANS(O17+2*N19))</f>
        <v>1.1008074705798173E-05</v>
      </c>
      <c r="P34" s="1" t="s">
        <v>31</v>
      </c>
      <c r="Q34" s="21">
        <f>161.72+24.198154*(N15)</f>
        <v>3253.0341734999997</v>
      </c>
      <c r="R34" s="21">
        <f>0.000037*SIN(RADIANS(Q34))</f>
        <v>8.34469020372668E-06</v>
      </c>
    </row>
    <row r="35" spans="1:18" ht="15.75">
      <c r="A35" s="1" t="s">
        <v>32</v>
      </c>
      <c r="B35">
        <f>239.56+25.513099*INT(A15)</f>
        <v>3505.236672</v>
      </c>
      <c r="C35">
        <f>0.000035*SIN(RADIANS(B35))</f>
        <v>-3.487911745145211E-05</v>
      </c>
      <c r="D35">
        <f>0.00038*A17*SIN(RADIANS(B17-2*A19))</f>
        <v>-0.0003110779587816153</v>
      </c>
      <c r="E35" t="s">
        <v>47</v>
      </c>
      <c r="F35">
        <f>0.00038*E17*SIN(RADIANS(F17-2*E19))</f>
        <v>-0.00023831045477624153</v>
      </c>
      <c r="G35" s="1" t="s">
        <v>32</v>
      </c>
      <c r="H35" s="21">
        <f>239.56+25.513099*(E15)</f>
        <v>3517.9932215</v>
      </c>
      <c r="I35" s="21">
        <f>0.000035*SIN(RADIANS(H35))</f>
        <v>-3.4659958444417413E-05</v>
      </c>
      <c r="J35" s="1" t="s">
        <v>32</v>
      </c>
      <c r="K35" s="21">
        <f>239.56+25.513099*(I15)</f>
        <v>3511.61494675</v>
      </c>
      <c r="L35" s="21">
        <f>0.000035*SIN(RADIANS(K35))</f>
        <v>-3.498609789882312E-05</v>
      </c>
      <c r="M35">
        <f>0.00038*I17*SIN(RADIANS(J17-2*I19))</f>
        <v>0.000277434003637968</v>
      </c>
      <c r="N35" t="s">
        <v>47</v>
      </c>
      <c r="O35">
        <f>0.00038*N17*SIN(RADIANS(O17-2*N19))</f>
        <v>0.0003385778104865664</v>
      </c>
      <c r="P35" s="1" t="s">
        <v>32</v>
      </c>
      <c r="Q35" s="21">
        <f>239.56+25.513099*(N15)</f>
        <v>3498.85839725</v>
      </c>
      <c r="R35" s="21">
        <f>0.000035*SIN(RADIANS(Q35))</f>
        <v>-3.434034149581032E-05</v>
      </c>
    </row>
    <row r="36" spans="1:18" ht="15.75">
      <c r="A36" s="1" t="s">
        <v>33</v>
      </c>
      <c r="B36">
        <f>331.55+3.592518*INT(A15)</f>
        <v>791.392304</v>
      </c>
      <c r="C36">
        <f>0.000023*SIN(RADIANS(B36))</f>
        <v>2.1797687849489886E-05</v>
      </c>
      <c r="D36">
        <f>-0.00024*A17*SIN(RADIANS(2*C17-B17))</f>
        <v>-0.00016735170128509048</v>
      </c>
      <c r="E36" t="s">
        <v>48</v>
      </c>
      <c r="F36">
        <f>-0.00024*E17*SIN(RADIANS(2*G17-F17))</f>
        <v>-0.0001977135754448535</v>
      </c>
      <c r="G36" s="1" t="s">
        <v>33</v>
      </c>
      <c r="H36" s="21">
        <f>331.55+3.592518*(E15)</f>
        <v>793.188563</v>
      </c>
      <c r="I36" s="21">
        <f>0.000023*SIN(RADIANS(H36))</f>
        <v>2.201702102894883E-05</v>
      </c>
      <c r="J36" s="1" t="s">
        <v>33</v>
      </c>
      <c r="K36" s="21">
        <f>331.55+3.592518*(I15)</f>
        <v>792.2904335000001</v>
      </c>
      <c r="L36" s="21">
        <f>0.000023*SIN(RADIANS(K36))</f>
        <v>2.191004620373129E-05</v>
      </c>
      <c r="M36">
        <f>-0.00024*I17*SIN(RADIANS(2*K17-J17))</f>
        <v>0.00018341809332300882</v>
      </c>
      <c r="N36" t="s">
        <v>48</v>
      </c>
      <c r="O36">
        <f>-0.00024*N17*SIN(RADIANS(2*P17-O17))</f>
        <v>0.0001496695191501041</v>
      </c>
      <c r="P36" s="1" t="s">
        <v>33</v>
      </c>
      <c r="Q36" s="21">
        <f>331.55+3.592518*(N15)</f>
        <v>790.4941745000001</v>
      </c>
      <c r="R36" s="21">
        <f>0.000023*SIN(RADIANS(Q36))</f>
        <v>2.167997357385524E-05</v>
      </c>
    </row>
    <row r="37" spans="3:18" ht="15.75">
      <c r="C37">
        <f>SUM(C23:C36)</f>
        <v>-0.0004028856714379259</v>
      </c>
      <c r="D37">
        <f>-0.00017*SIN(RADIANS(B19))</f>
        <v>0.00016450017341316676</v>
      </c>
      <c r="E37" t="s">
        <v>49</v>
      </c>
      <c r="F37">
        <f>-0.00017*SIN(RADIANS(F19))</f>
        <v>0.00016507015261681533</v>
      </c>
      <c r="G37" s="1"/>
      <c r="I37" s="21">
        <f>SUM(I23:I36)</f>
        <v>-0.0003636301173624976</v>
      </c>
      <c r="J37" s="1"/>
      <c r="L37" s="21">
        <f>SUM(L23:L36)</f>
        <v>-0.00038243061185422994</v>
      </c>
      <c r="M37">
        <f>-0.00017*SIN(RADIANS(J19))</f>
        <v>0.00016478899893033775</v>
      </c>
      <c r="N37" t="s">
        <v>49</v>
      </c>
      <c r="O37">
        <f>-0.00017*SIN(RADIANS(O19))</f>
        <v>0.00016420368951247403</v>
      </c>
      <c r="P37" s="1"/>
      <c r="R37" s="21">
        <f>SUM(R23:R36)</f>
        <v>-0.00042489641134352003</v>
      </c>
    </row>
    <row r="38" spans="4:15" ht="15.75">
      <c r="D38">
        <f>-0.00007*SIN(RADIANS(C17+2*B17))</f>
        <v>-2.1386755771925614E-05</v>
      </c>
      <c r="E38" t="s">
        <v>50</v>
      </c>
      <c r="F38">
        <f>-0.00007*SIN(RADIANS(G17+2*F17))</f>
        <v>-2.8721430726175177E-05</v>
      </c>
      <c r="G38" s="1"/>
      <c r="I38"/>
      <c r="M38">
        <f>-0.00007*SIN(RADIANS(K17+2*J17))</f>
        <v>6.988968036080511E-05</v>
      </c>
      <c r="N38" t="s">
        <v>50</v>
      </c>
      <c r="O38">
        <f>-0.00007*SIN(RADIANS(P17+2*O17))</f>
        <v>-5.455620707726257E-05</v>
      </c>
    </row>
    <row r="39" spans="4:15" ht="15.75">
      <c r="D39">
        <f>0.00004*SIN(RADIANS(2*C17-2*A19))</f>
        <v>-3.948612060699077E-05</v>
      </c>
      <c r="E39" t="s">
        <v>51</v>
      </c>
      <c r="F39">
        <f>0.00004*SIN(RADIANS(2*G17-2*E19))</f>
        <v>-3.988527910036859E-05</v>
      </c>
      <c r="G39" s="1"/>
      <c r="I39"/>
      <c r="M39">
        <f>0.00004*SIN(RADIANS(2*K17-2*I19))</f>
        <v>-3.9721324069738744E-05</v>
      </c>
      <c r="N39" t="s">
        <v>51</v>
      </c>
      <c r="O39">
        <f>0.00004*SIN(RADIANS(2*P17-2*N19))</f>
        <v>-3.91800905988228E-05</v>
      </c>
    </row>
    <row r="40" spans="4:15" ht="15.75">
      <c r="D40">
        <f>0.00004*SIN(RADIANS(3*B17))</f>
        <v>1.634415864391004E-05</v>
      </c>
      <c r="E40" t="s">
        <v>52</v>
      </c>
      <c r="F40">
        <f>0.00004*SIN(RADIANS(3*F17))</f>
        <v>3.702827898250853E-05</v>
      </c>
      <c r="G40" s="1"/>
      <c r="I40"/>
      <c r="M40">
        <f>0.00004*SIN(RADIANS(3*J17))</f>
        <v>2.8747481415790154E-05</v>
      </c>
      <c r="N40" t="s">
        <v>52</v>
      </c>
      <c r="O40">
        <f>0.00004*SIN(RADIANS(3*O17))</f>
        <v>1.5970059903021267E-06</v>
      </c>
    </row>
    <row r="41" spans="4:15" ht="15.75">
      <c r="D41">
        <f>0.00003*SIN(RADIANS(C17+B17-2*A19))</f>
        <v>1.8838516604069437E-05</v>
      </c>
      <c r="E41" t="s">
        <v>53</v>
      </c>
      <c r="F41">
        <f>0.00003*SIN(RADIANS(G17+F17-2*E19))</f>
        <v>-2.011607533256305E-05</v>
      </c>
      <c r="G41" s="1"/>
      <c r="I41"/>
      <c r="M41">
        <f>0.00003*SIN(RADIANS(K17+J17-2*I19))</f>
        <v>2.2810901275020917E-05</v>
      </c>
      <c r="N41" t="s">
        <v>53</v>
      </c>
      <c r="O41">
        <f>0.00003*SIN(RADIANS(P17+O17-2*N19))</f>
        <v>-2.386598064691221E-05</v>
      </c>
    </row>
    <row r="42" spans="4:15" ht="15.75">
      <c r="D42">
        <f>0.00003*SIN(RADIANS(2*C17+2*A19))</f>
        <v>2.7262794979527335E-05</v>
      </c>
      <c r="E42" t="s">
        <v>54</v>
      </c>
      <c r="F42">
        <f>0.00003*SIN(RADIANS(2*G17+2*E19))</f>
        <v>2.5490717700499147E-05</v>
      </c>
      <c r="G42" s="1"/>
      <c r="I42"/>
      <c r="M42">
        <f>0.00003*SIN(RADIANS(2*K17+2*I19))</f>
        <v>2.9941514835185182E-05</v>
      </c>
      <c r="N42" t="s">
        <v>54</v>
      </c>
      <c r="O42">
        <f>0.00003*SIN(RADIANS(2*P17+2*N19))</f>
        <v>1.8092400905689823E-05</v>
      </c>
    </row>
    <row r="43" spans="4:15" ht="15.75">
      <c r="D43">
        <f>-0.00003*SIN(RADIANS(C17+B17+2*A19))</f>
        <v>2.8651925029116352E-05</v>
      </c>
      <c r="E43" t="s">
        <v>55</v>
      </c>
      <c r="F43">
        <f>-0.00003*SIN(RADIANS(G17+F17+2*E19))</f>
        <v>-7.57570849812468E-06</v>
      </c>
      <c r="G43" s="1"/>
      <c r="I43"/>
      <c r="M43">
        <f>-0.00003*SIN(RADIANS(K17+J17+2*I19))</f>
        <v>2.169164702408001E-05</v>
      </c>
      <c r="N43" t="s">
        <v>55</v>
      </c>
      <c r="O43">
        <f>-0.00003*SIN(RADIANS(P17+O17+2*N19))</f>
        <v>6.147372078525798E-06</v>
      </c>
    </row>
    <row r="44" spans="4:15" ht="15.75">
      <c r="D44">
        <f>0.00003*SIN(RADIANS(C17-B17+2*A19))</f>
        <v>1.5524388839860354E-05</v>
      </c>
      <c r="E44" t="s">
        <v>56</v>
      </c>
      <c r="F44">
        <f>0.00003*SIN(RADIANS(G17-F17+2*E19))</f>
        <v>-2.6030265768110264E-05</v>
      </c>
      <c r="G44" s="1"/>
      <c r="I44"/>
      <c r="M44">
        <f>0.00003*SIN(RADIANS(K17-J17+2*I19))</f>
        <v>-2.096126773908474E-05</v>
      </c>
      <c r="N44" t="s">
        <v>56</v>
      </c>
      <c r="O44">
        <f>0.00003*SIN(RADIANS(P17-O17+2*N19))</f>
        <v>2.8742157738085933E-05</v>
      </c>
    </row>
    <row r="45" spans="4:15" ht="15.75">
      <c r="D45">
        <f>-0.00002*SIN(RADIANS(C17-B17-2*A19))</f>
        <v>1.8129519036657037E-05</v>
      </c>
      <c r="E45" t="s">
        <v>57</v>
      </c>
      <c r="F45">
        <f>-0.00002*SIN(RADIANS(G17-F17-2*E19))</f>
        <v>-1.0807184480616784E-05</v>
      </c>
      <c r="G45" s="1"/>
      <c r="I45"/>
      <c r="M45">
        <f>-0.00002*SIN(RADIANS(K17-J17-2*I19))</f>
        <v>-1.3156590074300229E-05</v>
      </c>
      <c r="N45" t="s">
        <v>57</v>
      </c>
      <c r="O45">
        <f>-0.00002*SIN(RADIANS(P17-O17-2*N19))</f>
        <v>3.0665589167437975E-06</v>
      </c>
    </row>
    <row r="46" spans="4:15" ht="15.75">
      <c r="D46">
        <f>-0.00002*SIN(RADIANS(3*C17+B17))</f>
        <v>8.903785403554963E-06</v>
      </c>
      <c r="E46" t="s">
        <v>58</v>
      </c>
      <c r="F46">
        <f>-0.00002*SIN(RADIANS(3*G17+F17))</f>
        <v>-1.9678544842918886E-05</v>
      </c>
      <c r="G46" s="1"/>
      <c r="I46"/>
      <c r="M46">
        <f>-0.00002*SIN(RADIANS(3*K17+J17))</f>
        <v>-1.2015524015371323E-05</v>
      </c>
      <c r="N46" t="s">
        <v>58</v>
      </c>
      <c r="O46">
        <f>-0.00002*SIN(RADIANS(3*P17+O17))</f>
        <v>1.9999873735738E-05</v>
      </c>
    </row>
    <row r="47" spans="4:15" ht="15.75">
      <c r="D47">
        <f>0.00002*SIN(RADIANS(4*C17))</f>
        <v>-5.335172333255081E-06</v>
      </c>
      <c r="E47" t="s">
        <v>59</v>
      </c>
      <c r="F47">
        <f>0.00002*SIN(RADIANS(4*G17))</f>
        <v>1.180151894558812E-05</v>
      </c>
      <c r="G47" s="1"/>
      <c r="I47"/>
      <c r="M47">
        <f>0.00002*SIN(RADIANS(4*K17))</f>
        <v>3.5916562446978615E-06</v>
      </c>
      <c r="N47" t="s">
        <v>59</v>
      </c>
      <c r="O47">
        <f>0.00002*SIN(RADIANS(4*P17))</f>
        <v>-1.3196994604053206E-05</v>
      </c>
    </row>
    <row r="48" spans="4:15" ht="15.75">
      <c r="D48">
        <f>SUM(D23:D47)</f>
        <v>0.5328377068847392</v>
      </c>
      <c r="F48">
        <f>SUM(F23:F47)</f>
        <v>-0.3137844558506531</v>
      </c>
      <c r="G48" s="1"/>
      <c r="I48"/>
      <c r="M48">
        <f>SUM(M23:M47)</f>
        <v>0.10552257647824943</v>
      </c>
      <c r="O48">
        <f>SUM(O23:O47)</f>
        <v>0.08784711152440834</v>
      </c>
    </row>
    <row r="49" spans="8:9" ht="15.75">
      <c r="H49" s="1"/>
      <c r="I49"/>
    </row>
    <row r="50" spans="1:15" ht="15.75">
      <c r="A50" s="1" t="s">
        <v>72</v>
      </c>
      <c r="E50" t="s">
        <v>73</v>
      </c>
      <c r="I50"/>
      <c r="K50" s="4" t="s">
        <v>79</v>
      </c>
      <c r="L50" s="25" t="s">
        <v>88</v>
      </c>
      <c r="N50" s="4" t="s">
        <v>75</v>
      </c>
      <c r="O50" s="34" t="s">
        <v>88</v>
      </c>
    </row>
    <row r="51" spans="1:15" ht="15.75">
      <c r="A51" s="1" t="s">
        <v>66</v>
      </c>
      <c r="E51" s="1" t="s">
        <v>66</v>
      </c>
      <c r="H51" s="1"/>
      <c r="I51"/>
      <c r="K51" s="1" t="s">
        <v>66</v>
      </c>
      <c r="L51">
        <f>0.00306-0.00038*I17*COS(RADIANS(J17))+0.00026*COS(RADIANS(K17))-0.00002*COS(RADIANS(K17-J17))+0.00002*COS(RADIANS(K17+J17))+0.00002*COS(RADIANS(2*I17))</f>
        <v>0.0036085587850610656</v>
      </c>
      <c r="N51" s="1" t="s">
        <v>66</v>
      </c>
      <c r="O51">
        <f>(0.00306-0.00038*N17*COS(RADIANS(O17))+0.00026*COS(RADIANS(P17))-0.00002*COS(RADIANS(P17-O17))+0.00002*COS(RADIANS(P17+O17))+0.00002*COS(RADIANS(2*N17)))</f>
        <v>0.003012350207184355</v>
      </c>
    </row>
    <row r="52" spans="1:14" ht="15.75">
      <c r="A52" s="19">
        <f>C15+(D48)+(C37)</f>
        <v>2455330.545459437</v>
      </c>
      <c r="E52" s="19">
        <f>G15+(F48)+(I37)</f>
        <v>2455344.464170967</v>
      </c>
      <c r="H52" s="1"/>
      <c r="I52"/>
      <c r="K52" s="19">
        <f>K15+M48+L37+L51</f>
        <v>2455337.5044205394</v>
      </c>
      <c r="M52"/>
      <c r="N52" s="19">
        <f>P15+O48+R37-O51</f>
        <v>2455322.714787262</v>
      </c>
    </row>
    <row r="53" spans="8:14" ht="15.75">
      <c r="H53" s="1"/>
      <c r="I53"/>
      <c r="M53"/>
      <c r="N53" s="1"/>
    </row>
    <row r="54" spans="1:16" ht="15.75">
      <c r="A54" s="3" t="s">
        <v>64</v>
      </c>
      <c r="B54" s="1" t="s">
        <v>65</v>
      </c>
      <c r="C54" s="1" t="s">
        <v>18</v>
      </c>
      <c r="E54" s="3" t="s">
        <v>64</v>
      </c>
      <c r="F54" s="1" t="s">
        <v>65</v>
      </c>
      <c r="G54" s="1" t="s">
        <v>18</v>
      </c>
      <c r="H54" s="1"/>
      <c r="I54"/>
      <c r="K54" s="3" t="s">
        <v>64</v>
      </c>
      <c r="L54" s="1" t="s">
        <v>65</v>
      </c>
      <c r="M54" s="1" t="s">
        <v>18</v>
      </c>
      <c r="N54" s="3" t="s">
        <v>64</v>
      </c>
      <c r="O54" s="1" t="s">
        <v>65</v>
      </c>
      <c r="P54" s="1" t="s">
        <v>18</v>
      </c>
    </row>
    <row r="55" spans="1:16" ht="15.75">
      <c r="A55">
        <f>A52+0.5</f>
        <v>2455331.045459437</v>
      </c>
      <c r="B55">
        <f>INT(A55)</f>
        <v>2455331</v>
      </c>
      <c r="C55">
        <f>ROUND(A55-B55,5)</f>
        <v>0.04546</v>
      </c>
      <c r="E55">
        <f>E52+0.5</f>
        <v>2455344.964170967</v>
      </c>
      <c r="F55">
        <f>INT(E55)</f>
        <v>2455344</v>
      </c>
      <c r="G55">
        <f>ROUND(E55-F55,5)</f>
        <v>0.96417</v>
      </c>
      <c r="H55" s="1"/>
      <c r="I55"/>
      <c r="K55">
        <f>K52+0.5</f>
        <v>2455338.0044205394</v>
      </c>
      <c r="L55">
        <f>INT(K55)</f>
        <v>2455338</v>
      </c>
      <c r="M55">
        <f>ROUND(K55-L55,5)</f>
        <v>0.00442</v>
      </c>
      <c r="N55">
        <f>N52+0.5</f>
        <v>2455323.214787262</v>
      </c>
      <c r="O55">
        <f>INT(N55)</f>
        <v>2455323</v>
      </c>
      <c r="P55">
        <f>ROUND(N55-O55,5)</f>
        <v>0.21479</v>
      </c>
    </row>
    <row r="56" spans="8:13" ht="15.75">
      <c r="H56" s="1"/>
      <c r="I56"/>
      <c r="M56"/>
    </row>
    <row r="57" spans="1:13" ht="15.75">
      <c r="A57" s="17" t="s">
        <v>60</v>
      </c>
      <c r="H57" s="1"/>
      <c r="I57"/>
      <c r="M57"/>
    </row>
    <row r="58" spans="1:13" ht="15.75">
      <c r="A58" s="17" t="s">
        <v>61</v>
      </c>
      <c r="H58" s="1"/>
      <c r="I58"/>
      <c r="M58"/>
    </row>
    <row r="59" spans="8:13" ht="15.75">
      <c r="H59" s="1"/>
      <c r="M59"/>
    </row>
    <row r="60" spans="1:16" ht="18.75">
      <c r="A60" s="18" t="s">
        <v>67</v>
      </c>
      <c r="B60" s="1" t="s">
        <v>68</v>
      </c>
      <c r="C60" s="1" t="s">
        <v>69</v>
      </c>
      <c r="E60" s="18" t="s">
        <v>67</v>
      </c>
      <c r="F60" s="1" t="s">
        <v>68</v>
      </c>
      <c r="G60" s="1" t="s">
        <v>69</v>
      </c>
      <c r="H60" s="1"/>
      <c r="I60"/>
      <c r="K60" s="18" t="s">
        <v>67</v>
      </c>
      <c r="L60" s="1" t="s">
        <v>68</v>
      </c>
      <c r="M60" s="1" t="s">
        <v>69</v>
      </c>
      <c r="N60" s="18" t="s">
        <v>67</v>
      </c>
      <c r="O60" s="1" t="s">
        <v>68</v>
      </c>
      <c r="P60" s="1" t="s">
        <v>69</v>
      </c>
    </row>
    <row r="61" spans="1:16" ht="18.75">
      <c r="A61" s="18">
        <f>INT((B55-1867216.25)/36524.25)</f>
        <v>16</v>
      </c>
      <c r="B61">
        <f>B55+1+A61-INT(A61/4)</f>
        <v>2455344</v>
      </c>
      <c r="C61">
        <f>B61+1524</f>
        <v>2456868</v>
      </c>
      <c r="E61" s="18">
        <f>INT((F55-1867216.25)/36525.25)</f>
        <v>16</v>
      </c>
      <c r="F61">
        <f>F55+1+E61-INT(E61/4)</f>
        <v>2455357</v>
      </c>
      <c r="G61">
        <f>F61+1524</f>
        <v>2456881</v>
      </c>
      <c r="H61" s="1"/>
      <c r="I61"/>
      <c r="K61" s="18">
        <f>INT((L55-1867216.25)/36525.25)</f>
        <v>16</v>
      </c>
      <c r="L61">
        <f>L55+1+K61-INT(K61/4)</f>
        <v>2455351</v>
      </c>
      <c r="M61">
        <f>L61+1524</f>
        <v>2456875</v>
      </c>
      <c r="N61" s="18">
        <f>INT((O55-1867216.25)/36525.25)</f>
        <v>16</v>
      </c>
      <c r="O61">
        <f>O55+1+N61-INT(N61/4)</f>
        <v>2455336</v>
      </c>
      <c r="P61">
        <f>O61+1524</f>
        <v>2456860</v>
      </c>
    </row>
    <row r="62" spans="1:16" ht="15.75">
      <c r="A62" s="1" t="s">
        <v>70</v>
      </c>
      <c r="B62" s="1" t="s">
        <v>71</v>
      </c>
      <c r="C62" s="1" t="s">
        <v>6</v>
      </c>
      <c r="E62" s="1" t="s">
        <v>70</v>
      </c>
      <c r="F62" s="1" t="s">
        <v>71</v>
      </c>
      <c r="G62" s="1" t="s">
        <v>6</v>
      </c>
      <c r="H62" s="1"/>
      <c r="I62"/>
      <c r="K62" s="1" t="s">
        <v>70</v>
      </c>
      <c r="L62" s="1" t="s">
        <v>71</v>
      </c>
      <c r="M62" s="1" t="s">
        <v>6</v>
      </c>
      <c r="N62" s="1" t="s">
        <v>70</v>
      </c>
      <c r="O62" s="1" t="s">
        <v>71</v>
      </c>
      <c r="P62" s="1" t="s">
        <v>6</v>
      </c>
    </row>
    <row r="63" spans="1:16" ht="15.75">
      <c r="A63">
        <f>INT((C61-122.1)/365.25)</f>
        <v>6726</v>
      </c>
      <c r="B63">
        <f>INT(365.25*A63)</f>
        <v>2456671</v>
      </c>
      <c r="C63">
        <f>INT((C61-B63)/30.6001)</f>
        <v>6</v>
      </c>
      <c r="E63">
        <f>INT((G61-122.1)/365.25)</f>
        <v>6726</v>
      </c>
      <c r="F63">
        <f>INT(365.25*E63)</f>
        <v>2456671</v>
      </c>
      <c r="G63">
        <f>INT((G61-F63)/30.6001)</f>
        <v>6</v>
      </c>
      <c r="H63" s="1"/>
      <c r="I63"/>
      <c r="K63">
        <f>INT((M61-122.1)/365.25)</f>
        <v>6726</v>
      </c>
      <c r="L63">
        <f>INT(365.25*K63)</f>
        <v>2456671</v>
      </c>
      <c r="M63">
        <f>INT((M61-L63)/30.6001)</f>
        <v>6</v>
      </c>
      <c r="N63">
        <f>INT((P61-122.1)/365.25)</f>
        <v>6726</v>
      </c>
      <c r="O63">
        <f>INT(365.25*N63)</f>
        <v>2456671</v>
      </c>
      <c r="P63">
        <f>INT((P61-O63)/30.6001)</f>
        <v>6</v>
      </c>
    </row>
    <row r="64" spans="8:14" ht="15.75">
      <c r="H64" s="1"/>
      <c r="I64"/>
      <c r="M64"/>
      <c r="N64" s="1"/>
    </row>
    <row r="65" spans="1:16" ht="15.75">
      <c r="A65" s="17" t="s">
        <v>62</v>
      </c>
      <c r="D65" t="s">
        <v>84</v>
      </c>
      <c r="E65" s="1" t="s">
        <v>72</v>
      </c>
      <c r="F65" t="s">
        <v>86</v>
      </c>
      <c r="G65" s="1" t="s">
        <v>87</v>
      </c>
      <c r="H65" s="23" t="s">
        <v>73</v>
      </c>
      <c r="I65" s="21" t="s">
        <v>85</v>
      </c>
      <c r="K65" s="17" t="s">
        <v>89</v>
      </c>
      <c r="L65" s="23" t="s">
        <v>79</v>
      </c>
      <c r="M65" t="s">
        <v>90</v>
      </c>
      <c r="N65" s="17" t="s">
        <v>91</v>
      </c>
      <c r="O65" s="23" t="s">
        <v>75</v>
      </c>
      <c r="P65" t="s">
        <v>92</v>
      </c>
    </row>
    <row r="66" spans="1:16" ht="15.75">
      <c r="A66" s="17"/>
      <c r="D66" s="29">
        <f>E66-A79</f>
        <v>-15.485128999999999</v>
      </c>
      <c r="E66" s="24">
        <f>C61-B63-INT(30.6001*C63)+C55</f>
        <v>14.04546</v>
      </c>
      <c r="F66" s="27">
        <f>E66+A79</f>
        <v>43.576049</v>
      </c>
      <c r="G66" s="29">
        <f>+H66-A79</f>
        <v>-1.5664189999999998</v>
      </c>
      <c r="H66" s="24">
        <f>G61-F63-INT(30.6001*G63)+G55</f>
        <v>27.96417</v>
      </c>
      <c r="I66" s="27">
        <f>H66+A79</f>
        <v>57.494759</v>
      </c>
      <c r="K66" s="29">
        <f>L66-$A$79</f>
        <v>-8.526169</v>
      </c>
      <c r="L66" s="24">
        <f>M61-L63-INT(30.6001*M63)+M55</f>
        <v>21.00442</v>
      </c>
      <c r="M66" s="27">
        <f>L66+$A$79</f>
        <v>50.535009</v>
      </c>
      <c r="N66" s="29">
        <f>O66-$A$79</f>
        <v>-23.315799</v>
      </c>
      <c r="O66" s="24">
        <f>P61-O63-INT(30.6001*P63)+P55</f>
        <v>6.21479</v>
      </c>
      <c r="P66" s="27">
        <f>O66+$A$79</f>
        <v>35.745379</v>
      </c>
    </row>
    <row r="67" spans="1:9" ht="15.75">
      <c r="A67" s="17" t="s">
        <v>63</v>
      </c>
      <c r="H67" s="1"/>
      <c r="I67"/>
    </row>
    <row r="68" spans="1:19" ht="15.75">
      <c r="A68" s="17"/>
      <c r="D68" t="s">
        <v>0</v>
      </c>
      <c r="E68" t="s">
        <v>1</v>
      </c>
      <c r="F68" s="25">
        <f>+X71</f>
        <v>2010</v>
      </c>
      <c r="G68" s="25">
        <f>+Y71</f>
        <v>5</v>
      </c>
      <c r="H68" s="1"/>
      <c r="I68"/>
      <c r="L68">
        <v>23</v>
      </c>
      <c r="P68" s="27" t="s">
        <v>94</v>
      </c>
      <c r="Q68" s="27"/>
      <c r="R68" s="27"/>
      <c r="S68" s="27"/>
    </row>
    <row r="69" spans="1:19" ht="15.75">
      <c r="A69" s="17"/>
      <c r="C69" s="1"/>
      <c r="H69" s="1"/>
      <c r="I69"/>
      <c r="P69" s="27"/>
      <c r="Q69" s="27"/>
      <c r="R69" s="27"/>
      <c r="S69" s="27" t="s">
        <v>93</v>
      </c>
    </row>
    <row r="70" ht="15.75">
      <c r="B70" t="s">
        <v>95</v>
      </c>
    </row>
    <row r="71" spans="2:31" ht="15.75">
      <c r="B71" t="s">
        <v>96</v>
      </c>
      <c r="W71" s="23" t="s">
        <v>72</v>
      </c>
      <c r="X71" s="26">
        <v>2010</v>
      </c>
      <c r="Y71" s="26">
        <v>5</v>
      </c>
      <c r="AE71" s="21"/>
    </row>
    <row r="72" spans="23:31" ht="15.75">
      <c r="W72" s="23">
        <f>INT(+E66)</f>
        <v>14</v>
      </c>
      <c r="Z72" s="1"/>
      <c r="AE72" s="21"/>
    </row>
    <row r="73" spans="26:31" ht="15.75">
      <c r="Z73" s="1"/>
      <c r="AE73" s="21"/>
    </row>
    <row r="74" spans="19:31" ht="15.75">
      <c r="S74" s="35" t="s">
        <v>79</v>
      </c>
      <c r="T74" s="35" t="s">
        <v>80</v>
      </c>
      <c r="U74" s="35" t="s">
        <v>73</v>
      </c>
      <c r="V74" s="35" t="s">
        <v>81</v>
      </c>
      <c r="W74" s="35" t="s">
        <v>75</v>
      </c>
      <c r="X74" s="35" t="s">
        <v>82</v>
      </c>
      <c r="Y74" s="35" t="s">
        <v>72</v>
      </c>
      <c r="Z74" s="35" t="s">
        <v>78</v>
      </c>
      <c r="AA74" s="35" t="s">
        <v>79</v>
      </c>
      <c r="AB74" s="35" t="s">
        <v>80</v>
      </c>
      <c r="AC74" s="35" t="s">
        <v>73</v>
      </c>
      <c r="AD74" s="35" t="s">
        <v>81</v>
      </c>
      <c r="AE74" s="35" t="s">
        <v>75</v>
      </c>
    </row>
    <row r="75" spans="19:31" ht="15.75">
      <c r="S75" s="36">
        <f>INT(K66)</f>
        <v>-9</v>
      </c>
      <c r="T75" s="36">
        <f>INT(L66+B79)</f>
        <v>24</v>
      </c>
      <c r="U75" s="36">
        <f>INT(H66)</f>
        <v>27</v>
      </c>
      <c r="V75" s="36">
        <f>INT(O66-$B$79)</f>
        <v>2</v>
      </c>
      <c r="W75" s="36">
        <f>INT(O66)</f>
        <v>6</v>
      </c>
      <c r="X75" s="36">
        <f>INT(E66-$B$79)</f>
        <v>10</v>
      </c>
      <c r="Y75" s="36">
        <f>INT(E66)</f>
        <v>14</v>
      </c>
      <c r="Z75" s="36">
        <f>INT(E66+$B$79)</f>
        <v>17</v>
      </c>
      <c r="AA75" s="36">
        <f>INT(L66)</f>
        <v>21</v>
      </c>
      <c r="AB75" s="36">
        <f>INT(L66+$B$79)</f>
        <v>24</v>
      </c>
      <c r="AC75" s="36">
        <f>INT(H66)</f>
        <v>27</v>
      </c>
      <c r="AD75" s="36">
        <f>INT(H66+$B$79)</f>
        <v>31</v>
      </c>
      <c r="AE75" s="36">
        <f>INT(P66)</f>
        <v>35</v>
      </c>
    </row>
    <row r="76" spans="19:31" ht="15.75">
      <c r="S76" s="37"/>
      <c r="T76" s="37"/>
      <c r="U76" s="37"/>
      <c r="V76" s="35" t="s">
        <v>81</v>
      </c>
      <c r="W76" s="35" t="s">
        <v>75</v>
      </c>
      <c r="X76" s="35" t="s">
        <v>82</v>
      </c>
      <c r="Y76" s="37"/>
      <c r="Z76" s="35" t="s">
        <v>78</v>
      </c>
      <c r="AA76" s="35" t="s">
        <v>79</v>
      </c>
      <c r="AB76" s="35" t="s">
        <v>80</v>
      </c>
      <c r="AC76" s="37"/>
      <c r="AD76" s="37"/>
      <c r="AE76" s="37"/>
    </row>
    <row r="77" spans="19:31" ht="15.75">
      <c r="S77" s="37"/>
      <c r="T77" s="37"/>
      <c r="U77" s="37"/>
      <c r="V77" s="36">
        <f>INT(H66+$B$79)</f>
        <v>31</v>
      </c>
      <c r="W77" s="36">
        <f>INT(O66)</f>
        <v>6</v>
      </c>
      <c r="X77" s="36">
        <f>INT(O66+$B$79)</f>
        <v>9</v>
      </c>
      <c r="Y77" s="37"/>
      <c r="Z77" s="36">
        <f>INT(L66-$B$79)</f>
        <v>17</v>
      </c>
      <c r="AA77" s="36">
        <f>INT(L66)</f>
        <v>21</v>
      </c>
      <c r="AB77" s="36">
        <f>INT(H66-$B$79)</f>
        <v>24</v>
      </c>
      <c r="AC77" s="37"/>
      <c r="AD77" s="37"/>
      <c r="AE77" s="37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3" ht="15.75">
      <c r="A79">
        <v>29.530589</v>
      </c>
      <c r="B79">
        <f>A79/8</f>
        <v>3.691323625</v>
      </c>
      <c r="C79">
        <f>A79/4</f>
        <v>7.38264725</v>
      </c>
    </row>
    <row r="81" ht="15.75">
      <c r="A81" t="s">
        <v>76</v>
      </c>
    </row>
    <row r="82" ht="15.75">
      <c r="A82" t="s">
        <v>77</v>
      </c>
    </row>
  </sheetData>
  <printOptions/>
  <pageMargins left="0.5905511811023623" right="0.3937007874015748" top="0.5905511811023623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</dc:creator>
  <cp:keywords/>
  <dc:description/>
  <cp:lastModifiedBy>Pag</cp:lastModifiedBy>
  <cp:lastPrinted>2009-04-18T17:26:54Z</cp:lastPrinted>
  <dcterms:created xsi:type="dcterms:W3CDTF">2009-04-17T19:29:28Z</dcterms:created>
  <dcterms:modified xsi:type="dcterms:W3CDTF">2009-04-24T03:30:19Z</dcterms:modified>
  <cp:category/>
  <cp:version/>
  <cp:contentType/>
  <cp:contentStatus/>
</cp:coreProperties>
</file>